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workbookProtection workbookAlgorithmName="SHA-512" workbookHashValue="inmSYMcaTCo3XsfOrKutTbpx9sO+MsYMh6mc7mIhYAKk6DhsQu258hQOqeM+8i5u0Ddb4kfPvuqtYM05IGExKg==" workbookSaltValue="ty2wtfNl9scuj8u/7zU6gg==" workbookSpinCount="100000" lockStructure="1"/>
  <bookViews>
    <workbookView xWindow="0" yWindow="504" windowWidth="23256" windowHeight="13176"/>
  </bookViews>
  <sheets>
    <sheet name="Sheet1 - Table 1" sheetId="1" r:id="rId1"/>
  </sheets>
  <definedNames>
    <definedName name="CameraModel">'Sheet1 - Table 1'!$E$23:$G$27</definedName>
    <definedName name="List">'Sheet1 - Table 1'!$O$16:$O$19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1" l="1"/>
  <c r="AM8" i="1"/>
  <c r="AK8" i="1"/>
  <c r="AM6" i="1"/>
  <c r="AK6" i="1"/>
  <c r="AM5" i="1"/>
  <c r="AK5" i="1"/>
  <c r="AM4" i="1"/>
  <c r="AK4" i="1"/>
  <c r="AM7" i="1"/>
  <c r="AK7" i="1"/>
  <c r="AD6" i="1"/>
  <c r="J3" i="1"/>
  <c r="J9" i="1" s="1"/>
  <c r="J7" i="1"/>
  <c r="O9" i="1" s="1"/>
  <c r="J6" i="1"/>
  <c r="J5" i="1"/>
  <c r="J4" i="1"/>
  <c r="L9" i="1" s="1"/>
  <c r="N5" i="1"/>
  <c r="AD9" i="1" s="1"/>
  <c r="AD10" i="1"/>
  <c r="J10" i="1" s="1"/>
  <c r="O4" i="1"/>
  <c r="N3" i="1" s="1"/>
  <c r="M9" i="1"/>
  <c r="AH6" i="1"/>
  <c r="AH8" i="1"/>
  <c r="AH7" i="1"/>
  <c r="O5" i="1"/>
  <c r="O6" i="1"/>
  <c r="O7" i="1"/>
  <c r="N7" i="1"/>
  <c r="AG6" i="1"/>
  <c r="N9" i="1" s="1"/>
  <c r="AD8" i="1"/>
  <c r="AG8" i="1"/>
  <c r="AD7" i="1"/>
  <c r="AF7" i="1" s="1"/>
  <c r="AG7" i="1"/>
  <c r="N6" i="1"/>
  <c r="N4" i="1"/>
  <c r="AF6" i="1"/>
  <c r="S11" i="1"/>
  <c r="T11" i="1" s="1"/>
  <c r="S12" i="1"/>
  <c r="T12" i="1"/>
  <c r="S13" i="1"/>
  <c r="S14" i="1" s="1"/>
  <c r="S15" i="1" s="1"/>
  <c r="T13" i="1"/>
  <c r="T14" i="1" s="1"/>
  <c r="T15" i="1" s="1"/>
  <c r="U13" i="1"/>
  <c r="U14" i="1" s="1"/>
  <c r="U15" i="1" s="1"/>
  <c r="U16" i="1" s="1"/>
  <c r="U17" i="1" s="1"/>
  <c r="U18" i="1" s="1"/>
  <c r="U22" i="1" s="1"/>
  <c r="U23" i="1" s="1"/>
  <c r="U24" i="1" s="1"/>
  <c r="U25" i="1" s="1"/>
  <c r="AF8" i="1"/>
  <c r="W15" i="1"/>
  <c r="W17" i="1"/>
  <c r="W22" i="1" s="1"/>
  <c r="W24" i="1" s="1"/>
  <c r="S18" i="1"/>
  <c r="S23" i="1" s="1"/>
  <c r="T18" i="1"/>
  <c r="S22" i="1"/>
  <c r="T22" i="1"/>
  <c r="U26" i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W27" i="1"/>
  <c r="W29" i="1"/>
  <c r="W31" i="1"/>
  <c r="W33" i="1" s="1"/>
  <c r="W35" i="1" s="1"/>
  <c r="W37" i="1" s="1"/>
  <c r="S24" i="1" l="1"/>
  <c r="S25" i="1" s="1"/>
  <c r="T23" i="1"/>
  <c r="T24" i="1" s="1"/>
  <c r="T25" i="1" s="1"/>
  <c r="L11" i="1"/>
  <c r="N11" i="1"/>
  <c r="O11" i="1" s="1"/>
  <c r="J11" i="1"/>
  <c r="M10" i="1"/>
  <c r="AH9" i="1"/>
  <c r="AH10" i="1"/>
  <c r="O10" i="1" s="1"/>
  <c r="AF10" i="1"/>
  <c r="L10" i="1" s="1"/>
  <c r="T16" i="1"/>
  <c r="S16" i="1"/>
  <c r="AG9" i="1"/>
  <c r="AF9" i="1"/>
  <c r="AG10" i="1"/>
  <c r="N10" i="1" s="1"/>
</calcChain>
</file>

<file path=xl/sharedStrings.xml><?xml version="1.0" encoding="utf-8"?>
<sst xmlns="http://schemas.openxmlformats.org/spreadsheetml/2006/main" count="138" uniqueCount="80">
  <si>
    <t>Lens and Scan Rate Calculator</t>
  </si>
  <si>
    <t>Zoom%</t>
  </si>
  <si>
    <t>EL2K</t>
  </si>
  <si>
    <t>EL2K-HR</t>
  </si>
  <si>
    <t>Fusion</t>
  </si>
  <si>
    <t>Fusion-Flex</t>
  </si>
  <si>
    <t>Pro</t>
  </si>
  <si>
    <t>Pro-DZ</t>
  </si>
  <si>
    <t>Vision</t>
  </si>
  <si>
    <t>5L200:</t>
  </si>
  <si>
    <t xml:space="preserve">     Lens Equivalency Calculation</t>
  </si>
  <si>
    <t>Zoom</t>
  </si>
  <si>
    <t>Density</t>
  </si>
  <si>
    <t>Speed-m/s</t>
  </si>
  <si>
    <t>km/h</t>
  </si>
  <si>
    <t>n/a</t>
  </si>
  <si>
    <t>5L600:</t>
  </si>
  <si>
    <t>Select Camera</t>
  </si>
  <si>
    <t>5L400</t>
  </si>
  <si>
    <r>
      <rPr>
        <sz val="12"/>
        <color rgb="FFFF0000"/>
        <rFont val="Arial"/>
        <family val="2"/>
      </rPr>
      <t>A</t>
    </r>
    <r>
      <rPr>
        <sz val="12"/>
        <rFont val="Arial"/>
        <family val="2"/>
      </rPr>
      <t xml:space="preserve"> =</t>
    </r>
  </si>
  <si>
    <t>m</t>
  </si>
  <si>
    <t>Image  Size E2000 5L200  =</t>
  </si>
  <si>
    <t>mm</t>
  </si>
  <si>
    <t>5L500:</t>
  </si>
  <si>
    <t>Lens to compare:</t>
  </si>
  <si>
    <t>to</t>
  </si>
  <si>
    <t>B =</t>
  </si>
  <si>
    <t>Image  Size   EPro 5L300  =</t>
  </si>
  <si>
    <t>5L400:</t>
  </si>
  <si>
    <t>EtherLynx 2000 - 5L200</t>
  </si>
  <si>
    <t>C =</t>
  </si>
  <si>
    <t>Image  Size  FFlex 5L400  =</t>
  </si>
  <si>
    <t>5L300:</t>
  </si>
  <si>
    <t>EtherLynx Pro - 5L300</t>
  </si>
  <si>
    <t>D =</t>
  </si>
  <si>
    <t>Image  Size Vision 5L500  =</t>
  </si>
  <si>
    <t xml:space="preserve">  Angle of visible range         =</t>
  </si>
  <si>
    <t>°</t>
  </si>
  <si>
    <t>Fusion Flex - 5L400</t>
  </si>
  <si>
    <t>Image  Size   VPro 5L600  =</t>
  </si>
  <si>
    <t xml:space="preserve">  Max. pan angle (minutes)   =</t>
  </si>
  <si>
    <t>'</t>
  </si>
  <si>
    <t xml:space="preserve"> Vision - 5L500</t>
  </si>
  <si>
    <t>Therefore:</t>
  </si>
  <si>
    <t>5L200</t>
  </si>
  <si>
    <t>5L300</t>
  </si>
  <si>
    <t>5L500</t>
  </si>
  <si>
    <t>5L600</t>
  </si>
  <si>
    <t xml:space="preserve">  Distance to subject            =</t>
  </si>
  <si>
    <t xml:space="preserve"> Vision Pro - 5L600</t>
  </si>
  <si>
    <t>Camera Height</t>
  </si>
  <si>
    <t>|</t>
  </si>
  <si>
    <t>Recommended Lens =</t>
  </si>
  <si>
    <t xml:space="preserve">  Near side frame rate          =</t>
  </si>
  <si>
    <t>fps</t>
  </si>
  <si>
    <t>Recommended Frame Rate =</t>
  </si>
  <si>
    <t>lps</t>
  </si>
  <si>
    <t xml:space="preserve">  Far side frame rate            =</t>
  </si>
  <si>
    <t>Camera Elevation Angle =</t>
  </si>
  <si>
    <t>deg</t>
  </si>
  <si>
    <t>angle of visible range</t>
  </si>
  <si>
    <t>Rate</t>
  </si>
  <si>
    <t>angle of subject on far side</t>
  </si>
  <si>
    <t>percentage of pixels used</t>
  </si>
  <si>
    <t xml:space="preserve">   | A</t>
  </si>
  <si>
    <t>pixels representing subject</t>
  </si>
  <si>
    <t>| D</t>
  </si>
  <si>
    <t>mm/pixel</t>
  </si>
  <si>
    <t>Distance to Track</t>
  </si>
  <si>
    <r>
      <t xml:space="preserve">     |        </t>
    </r>
    <r>
      <rPr>
        <sz val="12"/>
        <color rgb="FF00B050"/>
        <rFont val="Arial"/>
        <family val="2"/>
      </rPr>
      <t xml:space="preserve">Track  </t>
    </r>
    <r>
      <rPr>
        <sz val="12"/>
        <color theme="4"/>
        <rFont val="Arial"/>
        <family val="2"/>
      </rPr>
      <t xml:space="preserve"> </t>
    </r>
  </si>
  <si>
    <t>frame rate for far side</t>
  </si>
  <si>
    <t xml:space="preserve">          ----------</t>
  </si>
  <si>
    <t>-------------------------------------------------</t>
  </si>
  <si>
    <t>--------------------</t>
  </si>
  <si>
    <t>+</t>
  </si>
  <si>
    <t xml:space="preserve">          |&lt;-------</t>
  </si>
  <si>
    <t>---------------B -----------------</t>
  </si>
  <si>
    <t>---&gt;|&lt;---------------</t>
  </si>
  <si>
    <r>
      <rPr>
        <sz val="12"/>
        <color rgb="FF00B050"/>
        <rFont val="Arial"/>
        <family val="2"/>
      </rPr>
      <t>C</t>
    </r>
    <r>
      <rPr>
        <sz val="12"/>
        <color theme="4"/>
        <rFont val="Arial"/>
        <family val="2"/>
      </rPr>
      <t>------&gt;</t>
    </r>
  </si>
  <si>
    <t>angle of subject on near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</si>
</sst>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);\(#,##0.0\)"/>
    <numFmt numFmtId="165" formatCode="0.0%"/>
    <numFmt numFmtId="166" formatCode="#,##0.00_ ;\-#,##0.00\ "/>
    <numFmt numFmtId="167" formatCode="0.0"/>
    <numFmt numFmtId="168" formatCode="0.0000"/>
  </numFmts>
  <fonts count="28">
    <font>
      <sz val="11"/>
      <color indexed="8"/>
      <name val="Helvetica Neue"/>
    </font>
    <font>
      <sz val="10"/>
      <color indexed="9"/>
      <name val="Arial"/>
      <family val="2"/>
    </font>
    <font>
      <sz val="12"/>
      <color indexed="10"/>
      <name val="Arial"/>
      <family val="2"/>
    </font>
    <font>
      <sz val="12"/>
      <color indexed="9"/>
      <name val="Arial"/>
      <family val="2"/>
    </font>
    <font>
      <sz val="11"/>
      <name val="Helvetica Neue"/>
    </font>
    <font>
      <sz val="10"/>
      <name val="Geneva"/>
    </font>
    <font>
      <sz val="12"/>
      <color rgb="FF00B05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4"/>
      <name val="Arial"/>
      <family val="2"/>
    </font>
    <font>
      <sz val="12"/>
      <color rgb="FF002060"/>
      <name val="Arial"/>
      <family val="2"/>
    </font>
    <font>
      <sz val="12"/>
      <color rgb="FF00B050"/>
      <name val="Arial"/>
      <family val="2"/>
    </font>
    <font>
      <u/>
      <sz val="11"/>
      <color theme="10"/>
      <name val="Helvetica Neue"/>
    </font>
    <font>
      <u/>
      <sz val="11"/>
      <color theme="11"/>
      <name val="Helvetica Neue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2"/>
      <color rgb="FF002060"/>
      <name val="Arial"/>
      <family val="2"/>
    </font>
    <font>
      <sz val="12"/>
      <name val="Arial"/>
      <family val="2"/>
    </font>
    <font>
      <sz val="12"/>
      <color rgb="FF006100"/>
      <name val="Arial"/>
      <family val="2"/>
    </font>
    <font>
      <sz val="12"/>
      <color theme="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color rgb="FFFF0000"/>
      <name val="Helvetica Neue"/>
    </font>
    <font>
      <sz val="12"/>
      <color rgb="FFA50021"/>
      <name val="Arial"/>
      <family val="2"/>
    </font>
    <font>
      <sz val="10"/>
      <color rgb="FFFF0000"/>
      <name val="Arial"/>
      <family val="2"/>
    </font>
    <font>
      <b/>
      <sz val="14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theme="9"/>
      </left>
      <right style="double">
        <color auto="1"/>
      </right>
      <top style="thick">
        <color theme="9"/>
      </top>
      <bottom style="thick">
        <color theme="9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4">
    <xf numFmtId="0" fontId="0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123">
    <xf numFmtId="0" fontId="0" fillId="0" borderId="0" xfId="0" applyAlignment="1"/>
    <xf numFmtId="0" fontId="1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vertical="center"/>
      <protection hidden="1"/>
    </xf>
    <xf numFmtId="0" fontId="2" fillId="2" borderId="0" xfId="0" applyNumberFormat="1" applyFont="1" applyFill="1" applyBorder="1" applyAlignment="1" applyProtection="1">
      <alignment vertical="center"/>
      <protection hidden="1"/>
    </xf>
    <xf numFmtId="2" fontId="2" fillId="2" borderId="0" xfId="0" applyNumberFormat="1" applyFont="1" applyFill="1" applyBorder="1" applyAlignment="1" applyProtection="1">
      <alignment vertical="center"/>
      <protection hidden="1"/>
    </xf>
    <xf numFmtId="2" fontId="3" fillId="2" borderId="0" xfId="0" applyNumberFormat="1" applyFont="1" applyFill="1" applyBorder="1" applyAlignment="1" applyProtection="1">
      <alignment vertical="center"/>
      <protection hidden="1"/>
    </xf>
    <xf numFmtId="0" fontId="3" fillId="2" borderId="0" xfId="0" applyNumberFormat="1" applyFont="1" applyFill="1" applyBorder="1" applyAlignment="1" applyProtection="1">
      <alignment vertical="center"/>
      <protection hidden="1"/>
    </xf>
    <xf numFmtId="165" fontId="2" fillId="2" borderId="0" xfId="0" applyNumberFormat="1" applyFont="1" applyFill="1" applyBorder="1" applyAlignment="1" applyProtection="1">
      <alignment vertical="center"/>
      <protection hidden="1"/>
    </xf>
    <xf numFmtId="165" fontId="3" fillId="2" borderId="0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Border="1" applyAlignment="1" applyProtection="1">
      <alignment vertical="center"/>
      <protection hidden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  <protection hidden="1"/>
    </xf>
    <xf numFmtId="0" fontId="7" fillId="2" borderId="0" xfId="0" applyNumberFormat="1" applyFont="1" applyFill="1" applyBorder="1" applyAlignment="1" applyProtection="1">
      <alignment vertical="center"/>
      <protection hidden="1"/>
    </xf>
    <xf numFmtId="0" fontId="8" fillId="0" borderId="0" xfId="0" applyNumberFormat="1" applyFont="1" applyBorder="1" applyAlignment="1" applyProtection="1">
      <alignment vertical="center"/>
      <protection hidden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left" vertical="center"/>
      <protection hidden="1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37" fontId="7" fillId="2" borderId="0" xfId="0" applyNumberFormat="1" applyFont="1" applyFill="1" applyBorder="1" applyAlignment="1" applyProtection="1">
      <alignment vertical="center"/>
      <protection hidden="1"/>
    </xf>
    <xf numFmtId="37" fontId="7" fillId="2" borderId="0" xfId="0" applyNumberFormat="1" applyFont="1" applyFill="1" applyBorder="1" applyAlignment="1" applyProtection="1">
      <alignment horizontal="right" vertical="center"/>
      <protection hidden="1"/>
    </xf>
    <xf numFmtId="39" fontId="7" fillId="2" borderId="0" xfId="0" applyNumberFormat="1" applyFont="1" applyFill="1" applyBorder="1" applyAlignment="1" applyProtection="1">
      <alignment vertical="center"/>
      <protection hidden="1"/>
    </xf>
    <xf numFmtId="39" fontId="7" fillId="2" borderId="0" xfId="0" applyNumberFormat="1" applyFont="1" applyFill="1" applyBorder="1" applyAlignment="1" applyProtection="1">
      <alignment horizontal="right" vertical="center"/>
      <protection hidden="1"/>
    </xf>
    <xf numFmtId="1" fontId="7" fillId="2" borderId="0" xfId="0" applyNumberFormat="1" applyFont="1" applyFill="1" applyBorder="1" applyAlignment="1" applyProtection="1">
      <alignment vertical="center"/>
      <protection hidden="1"/>
    </xf>
    <xf numFmtId="9" fontId="7" fillId="2" borderId="0" xfId="0" applyNumberFormat="1" applyFont="1" applyFill="1" applyBorder="1" applyAlignment="1" applyProtection="1">
      <alignment vertical="center"/>
      <protection hidden="1"/>
    </xf>
    <xf numFmtId="2" fontId="7" fillId="2" borderId="0" xfId="0" applyNumberFormat="1" applyFont="1" applyFill="1" applyBorder="1" applyAlignment="1" applyProtection="1">
      <alignment vertical="center"/>
      <protection hidden="1"/>
    </xf>
    <xf numFmtId="165" fontId="7" fillId="2" borderId="0" xfId="0" applyNumberFormat="1" applyFont="1" applyFill="1" applyBorder="1" applyAlignment="1" applyProtection="1">
      <alignment vertical="center"/>
      <protection hidden="1"/>
    </xf>
    <xf numFmtId="168" fontId="8" fillId="0" borderId="0" xfId="0" applyNumberFormat="1" applyFont="1" applyBorder="1" applyAlignment="1" applyProtection="1">
      <alignment vertical="center"/>
      <protection hidden="1"/>
    </xf>
    <xf numFmtId="0" fontId="9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20" fillId="2" borderId="0" xfId="0" quotePrefix="1" applyNumberFormat="1" applyFont="1" applyFill="1" applyBorder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0" fillId="2" borderId="0" xfId="0" quotePrefix="1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vertical="center"/>
    </xf>
    <xf numFmtId="164" fontId="7" fillId="3" borderId="0" xfId="0" applyNumberFormat="1" applyFont="1" applyFill="1" applyBorder="1" applyAlignment="1" applyProtection="1">
      <alignment vertical="center"/>
    </xf>
    <xf numFmtId="0" fontId="15" fillId="3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right" vertical="center"/>
    </xf>
    <xf numFmtId="0" fontId="15" fillId="2" borderId="0" xfId="0" applyNumberFormat="1" applyFont="1" applyFill="1" applyBorder="1" applyAlignment="1" applyProtection="1">
      <alignment horizontal="left" vertical="center"/>
    </xf>
    <xf numFmtId="164" fontId="7" fillId="2" borderId="0" xfId="0" applyNumberFormat="1" applyFont="1" applyFill="1" applyBorder="1" applyAlignment="1" applyProtection="1">
      <alignment vertical="center"/>
    </xf>
    <xf numFmtId="1" fontId="7" fillId="2" borderId="0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right" vertical="center"/>
    </xf>
    <xf numFmtId="0" fontId="25" fillId="2" borderId="0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left" vertical="center"/>
    </xf>
    <xf numFmtId="0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right"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Border="1" applyAlignment="1" applyProtection="1">
      <alignment vertical="center"/>
    </xf>
    <xf numFmtId="37" fontId="19" fillId="4" borderId="0" xfId="21" applyNumberFormat="1" applyFont="1" applyBorder="1" applyAlignment="1" applyProtection="1">
      <alignment horizontal="center" vertical="center"/>
    </xf>
    <xf numFmtId="0" fontId="15" fillId="2" borderId="0" xfId="0" applyNumberFormat="1" applyFont="1" applyFill="1" applyBorder="1" applyAlignment="1" applyProtection="1">
      <alignment horizontal="center" vertical="center"/>
    </xf>
    <xf numFmtId="166" fontId="19" fillId="4" borderId="0" xfId="21" applyNumberFormat="1" applyFont="1" applyBorder="1" applyAlignment="1" applyProtection="1">
      <alignment horizontal="center" vertical="center"/>
    </xf>
    <xf numFmtId="1" fontId="19" fillId="4" borderId="0" xfId="21" applyNumberFormat="1" applyFont="1" applyBorder="1" applyAlignment="1" applyProtection="1">
      <alignment horizontal="center" vertical="center"/>
    </xf>
    <xf numFmtId="37" fontId="10" fillId="2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vertical="center"/>
    </xf>
    <xf numFmtId="0" fontId="1" fillId="0" borderId="3" xfId="0" applyNumberFormat="1" applyFont="1" applyBorder="1" applyAlignment="1" applyProtection="1">
      <alignment vertical="center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21" fillId="2" borderId="3" xfId="0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 applyProtection="1">
      <alignment vertical="center"/>
    </xf>
    <xf numFmtId="0" fontId="8" fillId="0" borderId="3" xfId="0" applyNumberFormat="1" applyFont="1" applyBorder="1" applyAlignment="1" applyProtection="1">
      <alignment vertical="center"/>
    </xf>
    <xf numFmtId="0" fontId="8" fillId="0" borderId="3" xfId="0" applyNumberFormat="1" applyFont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vertical="center"/>
    </xf>
    <xf numFmtId="0" fontId="1" fillId="0" borderId="5" xfId="0" applyNumberFormat="1" applyFont="1" applyBorder="1" applyAlignment="1" applyProtection="1">
      <alignment vertical="center"/>
    </xf>
    <xf numFmtId="1" fontId="7" fillId="2" borderId="6" xfId="0" applyNumberFormat="1" applyFont="1" applyFill="1" applyBorder="1" applyAlignment="1" applyProtection="1">
      <alignment horizontal="center" vertical="center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10" fillId="2" borderId="6" xfId="0" applyNumberFormat="1" applyFont="1" applyFill="1" applyBorder="1" applyAlignment="1" applyProtection="1">
      <alignment horizontal="center" vertical="center"/>
    </xf>
    <xf numFmtId="37" fontId="19" fillId="4" borderId="6" xfId="21" applyNumberFormat="1" applyFont="1" applyBorder="1" applyAlignment="1" applyProtection="1">
      <alignment horizontal="center" vertical="center"/>
    </xf>
    <xf numFmtId="1" fontId="19" fillId="4" borderId="6" xfId="21" applyNumberFormat="1" applyFont="1" applyBorder="1" applyAlignment="1" applyProtection="1">
      <alignment horizontal="center" vertical="center"/>
    </xf>
    <xf numFmtId="37" fontId="10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8" fillId="0" borderId="6" xfId="0" applyNumberFormat="1" applyFont="1" applyBorder="1" applyAlignment="1" applyProtection="1">
      <alignment vertical="center"/>
    </xf>
    <xf numFmtId="0" fontId="1" fillId="0" borderId="8" xfId="0" applyNumberFormat="1" applyFont="1" applyBorder="1" applyAlignment="1" applyProtection="1">
      <alignment vertical="center"/>
    </xf>
    <xf numFmtId="0" fontId="1" fillId="0" borderId="9" xfId="0" applyNumberFormat="1" applyFont="1" applyBorder="1" applyAlignment="1" applyProtection="1">
      <alignment vertical="center"/>
    </xf>
    <xf numFmtId="0" fontId="20" fillId="2" borderId="9" xfId="0" applyNumberFormat="1" applyFont="1" applyFill="1" applyBorder="1" applyAlignment="1" applyProtection="1">
      <alignment horizontal="left" vertical="center"/>
    </xf>
    <xf numFmtId="0" fontId="20" fillId="2" borderId="9" xfId="0" quotePrefix="1" applyNumberFormat="1" applyFont="1" applyFill="1" applyBorder="1" applyAlignment="1" applyProtection="1">
      <alignment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Border="1" applyAlignment="1" applyProtection="1">
      <alignment vertical="center"/>
    </xf>
    <xf numFmtId="0" fontId="8" fillId="0" borderId="9" xfId="0" applyNumberFormat="1" applyFont="1" applyBorder="1" applyAlignment="1" applyProtection="1">
      <alignment horizontal="center" vertical="center"/>
    </xf>
    <xf numFmtId="0" fontId="8" fillId="0" borderId="10" xfId="0" applyNumberFormat="1" applyFont="1" applyBorder="1" applyAlignment="1" applyProtection="1">
      <alignment vertical="center"/>
    </xf>
    <xf numFmtId="0" fontId="7" fillId="5" borderId="5" xfId="0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6" xfId="0" applyFont="1" applyFill="1" applyBorder="1" applyAlignment="1" applyProtection="1">
      <alignment vertical="center"/>
    </xf>
    <xf numFmtId="1" fontId="7" fillId="5" borderId="0" xfId="0" quotePrefix="1" applyNumberFormat="1" applyFont="1" applyFill="1" applyBorder="1" applyAlignment="1" applyProtection="1">
      <alignment horizontal="center" vertical="center"/>
    </xf>
    <xf numFmtId="1" fontId="7" fillId="5" borderId="0" xfId="0" applyNumberFormat="1" applyFont="1" applyFill="1" applyBorder="1" applyAlignment="1" applyProtection="1">
      <alignment horizontal="center" vertical="center"/>
    </xf>
    <xf numFmtId="1" fontId="7" fillId="5" borderId="0" xfId="0" quotePrefix="1" applyNumberFormat="1" applyFont="1" applyFill="1" applyBorder="1" applyAlignment="1" applyProtection="1">
      <alignment horizontal="right" vertical="center"/>
    </xf>
    <xf numFmtId="167" fontId="7" fillId="5" borderId="6" xfId="0" applyNumberFormat="1" applyFont="1" applyFill="1" applyBorder="1" applyAlignment="1" applyProtection="1">
      <alignment vertical="center"/>
    </xf>
    <xf numFmtId="0" fontId="7" fillId="5" borderId="8" xfId="0" applyFont="1" applyFill="1" applyBorder="1" applyAlignment="1" applyProtection="1">
      <alignment horizontal="right" vertical="center"/>
    </xf>
    <xf numFmtId="1" fontId="7" fillId="5" borderId="9" xfId="0" quotePrefix="1" applyNumberFormat="1" applyFont="1" applyFill="1" applyBorder="1" applyAlignment="1" applyProtection="1">
      <alignment horizontal="right" vertical="center"/>
    </xf>
    <xf numFmtId="1" fontId="7" fillId="5" borderId="9" xfId="0" applyNumberFormat="1" applyFont="1" applyFill="1" applyBorder="1" applyAlignment="1" applyProtection="1">
      <alignment horizontal="center" vertical="center"/>
    </xf>
    <xf numFmtId="167" fontId="7" fillId="5" borderId="10" xfId="0" applyNumberFormat="1" applyFont="1" applyFill="1" applyBorder="1" applyAlignment="1" applyProtection="1">
      <alignment vertical="center"/>
    </xf>
    <xf numFmtId="1" fontId="6" fillId="5" borderId="1" xfId="0" applyNumberFormat="1" applyFont="1" applyFill="1" applyBorder="1" applyAlignment="1" applyProtection="1">
      <alignment vertical="center"/>
      <protection locked="0"/>
    </xf>
    <xf numFmtId="1" fontId="6" fillId="5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0" fontId="27" fillId="5" borderId="2" xfId="0" applyNumberFormat="1" applyFont="1" applyFill="1" applyBorder="1" applyAlignment="1" applyProtection="1">
      <alignment vertical="center"/>
    </xf>
    <xf numFmtId="0" fontId="27" fillId="5" borderId="3" xfId="0" applyNumberFormat="1" applyFont="1" applyFill="1" applyBorder="1" applyAlignment="1" applyProtection="1">
      <alignment vertical="center"/>
    </xf>
    <xf numFmtId="0" fontId="27" fillId="5" borderId="4" xfId="0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20" fillId="2" borderId="9" xfId="0" quotePrefix="1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26" fillId="0" borderId="5" xfId="0" applyNumberFormat="1" applyFont="1" applyBorder="1" applyAlignment="1" applyProtection="1">
      <alignment vertical="center" textRotation="90"/>
    </xf>
    <xf numFmtId="0" fontId="24" fillId="0" borderId="5" xfId="0" applyFont="1" applyBorder="1" applyAlignment="1">
      <alignment textRotation="90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horizontal="right" vertical="center"/>
    </xf>
    <xf numFmtId="0" fontId="17" fillId="2" borderId="0" xfId="0" applyNumberFormat="1" applyFont="1" applyFill="1" applyBorder="1" applyAlignment="1" applyProtection="1">
      <alignment horizontal="right" vertical="center"/>
    </xf>
    <xf numFmtId="0" fontId="17" fillId="2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/>
    </xf>
  </cellXfs>
  <cellStyles count="34">
    <cellStyle name="Followed Hyperlink" xfId="10" builtinId="9" hidden="1"/>
    <cellStyle name="Followed Hyperlink" xfId="29" builtinId="9" hidden="1"/>
    <cellStyle name="Followed Hyperlink" xfId="33" builtinId="9" hidden="1"/>
    <cellStyle name="Followed Hyperlink" xfId="25" builtinId="9" hidden="1"/>
    <cellStyle name="Followed Hyperlink" xfId="27" builtinId="9" hidden="1"/>
    <cellStyle name="Followed Hyperlink" xfId="18" builtinId="9" hidden="1"/>
    <cellStyle name="Followed Hyperlink" xfId="4" builtinId="9" hidden="1"/>
    <cellStyle name="Followed Hyperlink" xfId="20" builtinId="9" hidden="1"/>
    <cellStyle name="Followed Hyperlink" xfId="23" builtinId="9" hidden="1"/>
    <cellStyle name="Followed Hyperlink" xfId="12" builtinId="9" hidden="1"/>
    <cellStyle name="Followed Hyperlink" xfId="16" builtinId="9" hidden="1"/>
    <cellStyle name="Followed Hyperlink" xfId="31" builtinId="9" hidden="1"/>
    <cellStyle name="Followed Hyperlink" xfId="8" builtinId="9" hidden="1"/>
    <cellStyle name="Followed Hyperlink" xfId="2" builtinId="9" hidden="1"/>
    <cellStyle name="Followed Hyperlink" xfId="6" builtinId="9" hidden="1"/>
    <cellStyle name="Followed Hyperlink" xfId="14" builtinId="9" hidden="1"/>
    <cellStyle name="Good" xfId="21" builtinId="26"/>
    <cellStyle name="Hyperlink" xfId="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19" builtinId="8" hidden="1"/>
    <cellStyle name="Hyperlink" xfId="22" builtinId="8" hidden="1"/>
    <cellStyle name="Hyperlink" xfId="15" builtinId="8" hidden="1"/>
    <cellStyle name="Hyperlink" xfId="17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000000"/>
      <rgbColor rgb="000000FF"/>
      <rgbColor rgb="00FFFFFF"/>
      <rgbColor rgb="00C0C0C0"/>
      <rgbColor rgb="00FF9900"/>
      <rgbColor rgb="00800000"/>
      <rgbColor rgb="00FFFFFF"/>
      <rgbColor rgb="00C0C0C0"/>
      <rgbColor rgb="00800080"/>
      <rgbColor rgb="0099CC00"/>
      <rgbColor rgb="00FF0000"/>
      <rgbColor rgb="00CDCDCD"/>
      <rgbColor rgb="00CCCCCC"/>
      <rgbColor rgb="00808080"/>
      <rgbColor rgb="00000080"/>
      <rgbColor rgb="00FF00FF"/>
      <rgbColor rgb="00FFFF00"/>
      <rgbColor rgb="0000FFFF"/>
      <rgbColor rgb="009999FF"/>
      <rgbColor rgb="00993366"/>
      <rgbColor rgb="00FFFFCC"/>
      <rgbColor rgb="00CCFFFF"/>
      <rgbColor rgb="00660066"/>
      <rgbColor rgb="00FF8080"/>
      <rgbColor rgb="003F77BE"/>
      <rgbColor rgb="007CC861"/>
      <rgbColor rgb="00FFB143"/>
      <rgbColor rgb="00EF383C"/>
      <rgbColor rgb="009D56AB"/>
      <rgbColor rgb="00AEB2B1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O38"/>
  <sheetViews>
    <sheetView showGridLines="0" tabSelected="1" zoomScaleNormal="100" zoomScalePageLayoutView="140" workbookViewId="0">
      <selection activeCell="D3" sqref="D3"/>
    </sheetView>
  </sheetViews>
  <sheetFormatPr defaultColWidth="10.5" defaultRowHeight="20.100000000000001" customHeight="1"/>
  <cols>
    <col min="1" max="1" width="2.5" style="1" customWidth="1"/>
    <col min="2" max="2" width="9.765625E-2" style="1" customWidth="1"/>
    <col min="3" max="3" width="3.8984375" style="1" customWidth="1"/>
    <col min="4" max="4" width="6.3984375" style="1" customWidth="1"/>
    <col min="5" max="5" width="3" style="1" customWidth="1"/>
    <col min="6" max="6" width="0.5" style="1" customWidth="1"/>
    <col min="7" max="7" width="7.8984375" style="1" customWidth="1"/>
    <col min="8" max="8" width="7.59765625" style="1" customWidth="1"/>
    <col min="9" max="9" width="10.5" style="1" customWidth="1"/>
    <col min="10" max="10" width="6.8984375" style="1" customWidth="1"/>
    <col min="11" max="11" width="3.5" style="1" customWidth="1"/>
    <col min="12" max="12" width="9.5" style="1" customWidth="1"/>
    <col min="13" max="13" width="8.5" style="15" customWidth="1"/>
    <col min="14" max="14" width="9.5" style="1" customWidth="1"/>
    <col min="15" max="15" width="7.8984375" style="1" customWidth="1"/>
    <col min="16" max="16" width="7.5" style="6" hidden="1" customWidth="1"/>
    <col min="17" max="18" width="5.8984375" style="6" hidden="1" customWidth="1"/>
    <col min="19" max="20" width="6.5" style="6" hidden="1" customWidth="1"/>
    <col min="21" max="21" width="6.8984375" style="6" hidden="1" customWidth="1"/>
    <col min="22" max="22" width="5.5" style="6" hidden="1" customWidth="1"/>
    <col min="23" max="23" width="8.5" style="6" hidden="1" customWidth="1"/>
    <col min="24" max="24" width="8.09765625" style="6" hidden="1" customWidth="1"/>
    <col min="25" max="26" width="10.5" style="6" hidden="1" customWidth="1"/>
    <col min="27" max="34" width="10.5" style="3" hidden="1" customWidth="1"/>
    <col min="35" max="35" width="0.5" style="3" customWidth="1"/>
    <col min="36" max="36" width="24" style="1" customWidth="1"/>
    <col min="37" max="37" width="6.8984375" style="1" customWidth="1"/>
    <col min="38" max="38" width="1.8984375" style="1" customWidth="1"/>
    <col min="39" max="39" width="4.09765625" style="1" customWidth="1"/>
    <col min="40" max="40" width="4.8984375" style="1" customWidth="1"/>
    <col min="41" max="16384" width="10.5" style="1"/>
  </cols>
  <sheetData>
    <row r="1" spans="1:41" ht="15" customHeight="1" thickTop="1" thickBot="1">
      <c r="A1" s="67"/>
      <c r="B1" s="68"/>
      <c r="C1" s="69" t="s">
        <v>0</v>
      </c>
      <c r="D1" s="70"/>
      <c r="E1" s="70"/>
      <c r="F1" s="70"/>
      <c r="G1" s="70"/>
      <c r="H1" s="71"/>
      <c r="I1" s="68"/>
      <c r="J1" s="68"/>
      <c r="K1" s="68"/>
      <c r="L1" s="72"/>
      <c r="M1" s="73"/>
      <c r="N1" s="71"/>
      <c r="O1" s="74"/>
      <c r="P1" s="18" t="s">
        <v>1</v>
      </c>
      <c r="Q1" s="2" t="s">
        <v>2</v>
      </c>
      <c r="R1" s="2" t="s">
        <v>3</v>
      </c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19"/>
      <c r="Y1" s="20"/>
      <c r="Z1" s="20"/>
      <c r="AA1" s="113" t="s">
        <v>9</v>
      </c>
      <c r="AB1" s="21">
        <v>2.100695E-2</v>
      </c>
      <c r="AJ1" s="109" t="s">
        <v>10</v>
      </c>
      <c r="AK1" s="110"/>
      <c r="AL1" s="110"/>
      <c r="AM1" s="110"/>
      <c r="AN1" s="111"/>
      <c r="AO1" s="3"/>
    </row>
    <row r="2" spans="1:41" ht="15" customHeight="1">
      <c r="A2" s="75"/>
      <c r="B2" s="3"/>
      <c r="C2" s="41"/>
      <c r="D2" s="35"/>
      <c r="E2" s="35"/>
      <c r="F2" s="42"/>
      <c r="G2" s="43"/>
      <c r="H2" s="43"/>
      <c r="I2" s="43"/>
      <c r="J2" s="44"/>
      <c r="K2" s="45"/>
      <c r="L2" s="21" t="s">
        <v>11</v>
      </c>
      <c r="M2" s="21" t="s">
        <v>12</v>
      </c>
      <c r="N2" s="21" t="s">
        <v>13</v>
      </c>
      <c r="O2" s="76" t="s">
        <v>14</v>
      </c>
      <c r="P2" s="2">
        <v>25</v>
      </c>
      <c r="Q2" s="2" t="s">
        <v>15</v>
      </c>
      <c r="R2" s="2">
        <v>338</v>
      </c>
      <c r="S2" s="2">
        <v>336</v>
      </c>
      <c r="T2" s="2">
        <v>336</v>
      </c>
      <c r="U2" s="2">
        <v>336</v>
      </c>
      <c r="V2" s="2">
        <v>336</v>
      </c>
      <c r="W2" s="2"/>
      <c r="X2" s="19"/>
      <c r="Y2" s="20"/>
      <c r="Z2" s="20"/>
      <c r="AA2" s="113" t="s">
        <v>16</v>
      </c>
      <c r="AB2" s="21">
        <v>1.0999999999999999E-2</v>
      </c>
      <c r="AC2" s="16"/>
      <c r="AD2" s="16"/>
      <c r="AE2" s="16"/>
      <c r="AF2" s="16"/>
      <c r="AG2" s="16"/>
      <c r="AH2" s="16"/>
      <c r="AI2" s="16"/>
      <c r="AJ2" s="93" t="s">
        <v>17</v>
      </c>
      <c r="AK2" s="112" t="s">
        <v>18</v>
      </c>
      <c r="AL2" s="94"/>
      <c r="AM2" s="95"/>
      <c r="AN2" s="96"/>
      <c r="AO2" s="3"/>
    </row>
    <row r="3" spans="1:41" ht="15" customHeight="1" thickTop="1" thickBot="1">
      <c r="A3" s="75"/>
      <c r="B3" s="3"/>
      <c r="C3" s="46" t="s">
        <v>19</v>
      </c>
      <c r="D3" s="65">
        <v>15</v>
      </c>
      <c r="E3" s="47" t="s">
        <v>20</v>
      </c>
      <c r="F3" s="118" t="s">
        <v>21</v>
      </c>
      <c r="G3" s="119"/>
      <c r="H3" s="119"/>
      <c r="I3" s="119"/>
      <c r="J3" s="48">
        <f>IF(((M3/(L3/100))*AB1)&lt;21.008,M3/(L3/100)*AB1,"Error")</f>
        <v>21.00695</v>
      </c>
      <c r="K3" s="47" t="s">
        <v>22</v>
      </c>
      <c r="L3" s="66">
        <v>100</v>
      </c>
      <c r="M3" s="66">
        <v>1000</v>
      </c>
      <c r="N3" s="49">
        <f>O4/3.6</f>
        <v>16.666666666666668</v>
      </c>
      <c r="O3" s="77">
        <v>60</v>
      </c>
      <c r="P3" s="2">
        <v>33</v>
      </c>
      <c r="Q3" s="2" t="s">
        <v>15</v>
      </c>
      <c r="R3" s="2">
        <v>450</v>
      </c>
      <c r="S3" s="2">
        <v>448</v>
      </c>
      <c r="T3" s="2">
        <v>448</v>
      </c>
      <c r="U3" s="2">
        <v>448</v>
      </c>
      <c r="V3" s="2">
        <v>448</v>
      </c>
      <c r="W3" s="2"/>
      <c r="X3" s="19"/>
      <c r="Y3" s="20"/>
      <c r="Z3" s="20"/>
      <c r="AA3" s="113" t="s">
        <v>23</v>
      </c>
      <c r="AB3" s="21">
        <v>7.4999999999999997E-3</v>
      </c>
      <c r="AC3" s="16"/>
      <c r="AD3" s="16"/>
      <c r="AE3" s="16"/>
      <c r="AF3" s="16"/>
      <c r="AG3" s="16"/>
      <c r="AH3" s="16"/>
      <c r="AI3" s="16"/>
      <c r="AJ3" s="93" t="s">
        <v>24</v>
      </c>
      <c r="AK3" s="105">
        <v>80</v>
      </c>
      <c r="AL3" s="97" t="s">
        <v>25</v>
      </c>
      <c r="AM3" s="106">
        <v>200</v>
      </c>
      <c r="AN3" s="96" t="s">
        <v>22</v>
      </c>
      <c r="AO3" s="3"/>
    </row>
    <row r="4" spans="1:41" ht="15" customHeight="1" thickTop="1" thickBot="1">
      <c r="A4" s="75"/>
      <c r="B4" s="3"/>
      <c r="C4" s="50" t="s">
        <v>26</v>
      </c>
      <c r="D4" s="65">
        <v>20</v>
      </c>
      <c r="E4" s="47" t="s">
        <v>20</v>
      </c>
      <c r="F4" s="118" t="s">
        <v>27</v>
      </c>
      <c r="G4" s="119"/>
      <c r="H4" s="119"/>
      <c r="I4" s="119"/>
      <c r="J4" s="48">
        <f>IF(((M4/(L4/100))*AB5)&lt;41,M4/(L4/100)*AB5,"Error'")</f>
        <v>39.999999999999993</v>
      </c>
      <c r="K4" s="47" t="s">
        <v>22</v>
      </c>
      <c r="L4" s="66">
        <v>150</v>
      </c>
      <c r="M4" s="66">
        <v>2000</v>
      </c>
      <c r="N4" s="49">
        <f>O5/3.6</f>
        <v>16.666666666666668</v>
      </c>
      <c r="O4" s="78">
        <f>O3</f>
        <v>60</v>
      </c>
      <c r="P4" s="2">
        <v>50</v>
      </c>
      <c r="Q4" s="2">
        <v>500</v>
      </c>
      <c r="R4" s="2">
        <v>674</v>
      </c>
      <c r="S4" s="2">
        <v>672</v>
      </c>
      <c r="T4" s="2">
        <v>672</v>
      </c>
      <c r="U4" s="2">
        <v>680</v>
      </c>
      <c r="V4" s="2">
        <v>680</v>
      </c>
      <c r="W4" s="2"/>
      <c r="X4" s="20"/>
      <c r="Y4" s="20"/>
      <c r="Z4" s="20"/>
      <c r="AA4" s="113" t="s">
        <v>28</v>
      </c>
      <c r="AB4" s="21">
        <v>2.100695E-2</v>
      </c>
      <c r="AC4" s="16"/>
      <c r="AD4" s="16"/>
      <c r="AE4" s="16"/>
      <c r="AF4" s="16"/>
      <c r="AG4" s="16"/>
      <c r="AH4" s="16"/>
      <c r="AI4" s="16"/>
      <c r="AJ4" s="93" t="s">
        <v>29</v>
      </c>
      <c r="AK4" s="99">
        <f>IF($AK$2="5L200",$AK$3,IF($AK$2="5L300",$AK$3*0.515,IF($AK$2="5L400",$AK$3*0.744,IF($AK$2="5L500",$AK$3/0.23,IF($AK$2="5L600",$AK$3*1.87)))))</f>
        <v>59.519999999999996</v>
      </c>
      <c r="AL4" s="98"/>
      <c r="AM4" s="99">
        <f>IF($AK$2="5L200",$AM$3,IF($AK$2="5L300",$AM$3*0.515,IF($AK$2="5L400",$AM$3*0.744,IF($AK$2="5L500",$AM$3/0.23,IF($AK$2="5L600",$AM$3/0.536)))))</f>
        <v>148.80000000000001</v>
      </c>
      <c r="AN4" s="96"/>
      <c r="AO4" s="3"/>
    </row>
    <row r="5" spans="1:41" ht="15" customHeight="1" thickTop="1" thickBot="1">
      <c r="A5" s="75"/>
      <c r="B5" s="3"/>
      <c r="C5" s="51" t="s">
        <v>30</v>
      </c>
      <c r="D5" s="65">
        <v>25</v>
      </c>
      <c r="E5" s="47" t="s">
        <v>20</v>
      </c>
      <c r="F5" s="118" t="s">
        <v>31</v>
      </c>
      <c r="G5" s="119"/>
      <c r="H5" s="119"/>
      <c r="I5" s="119"/>
      <c r="J5" s="48">
        <f>IF(((M5/(L5/100))*AB4)&lt;28.2334,M5/(L5/100)*AB4,"Error")</f>
        <v>28.233340800000001</v>
      </c>
      <c r="K5" s="47" t="s">
        <v>22</v>
      </c>
      <c r="L5" s="66">
        <v>100</v>
      </c>
      <c r="M5" s="66">
        <v>1344</v>
      </c>
      <c r="N5" s="49">
        <f>O3/3.6</f>
        <v>16.666666666666668</v>
      </c>
      <c r="O5" s="78">
        <f>O3</f>
        <v>60</v>
      </c>
      <c r="P5" s="2">
        <v>100</v>
      </c>
      <c r="Q5" s="2">
        <v>500</v>
      </c>
      <c r="R5" s="2">
        <v>1000</v>
      </c>
      <c r="S5" s="2">
        <v>1000</v>
      </c>
      <c r="T5" s="2">
        <v>1344</v>
      </c>
      <c r="U5" s="2">
        <v>1360</v>
      </c>
      <c r="V5" s="2">
        <v>1360</v>
      </c>
      <c r="W5" s="2">
        <v>640</v>
      </c>
      <c r="X5" s="20"/>
      <c r="Y5" s="20"/>
      <c r="Z5" s="20"/>
      <c r="AA5" s="113" t="s">
        <v>32</v>
      </c>
      <c r="AB5" s="21">
        <v>0.03</v>
      </c>
      <c r="AC5" s="16"/>
      <c r="AD5" s="16"/>
      <c r="AE5" s="16"/>
      <c r="AF5" s="16"/>
      <c r="AG5" s="16"/>
      <c r="AH5" s="16"/>
      <c r="AI5" s="16"/>
      <c r="AJ5" s="93" t="s">
        <v>33</v>
      </c>
      <c r="AK5" s="99">
        <f>IF($AK$2="5L300",$AK$3,IF($AK$2="5L200",$AK$3/0.515,IF($AK$2="5L400",$AK$3/0.692,IF($AK$2="5L500",$AK$3/0.1176,IF($AK$2="5L600",$AK$3/0.276)))))</f>
        <v>115.60693641618498</v>
      </c>
      <c r="AL5" s="98" t="s">
        <v>25</v>
      </c>
      <c r="AM5" s="99">
        <f>IF($AK$2="5L300",$AM$3,IF($AK$2="5L200",$AM$3/0.515,IF($AK$2="5L400",$AM$3/0.692,IF($AK$2="5L500",$AM$3/0.1176,IF($AK$2="5L600",$AM$3/0.276)))))</f>
        <v>289.01734104046244</v>
      </c>
      <c r="AN5" s="100" t="s">
        <v>22</v>
      </c>
      <c r="AO5" s="3"/>
    </row>
    <row r="6" spans="1:41" ht="15" customHeight="1" thickTop="1" thickBot="1">
      <c r="A6" s="75"/>
      <c r="B6" s="3"/>
      <c r="C6" s="52" t="s">
        <v>34</v>
      </c>
      <c r="D6" s="65">
        <v>2.5</v>
      </c>
      <c r="E6" s="47" t="s">
        <v>20</v>
      </c>
      <c r="F6" s="118" t="s">
        <v>35</v>
      </c>
      <c r="G6" s="119"/>
      <c r="H6" s="119"/>
      <c r="I6" s="119"/>
      <c r="J6" s="48">
        <f>IF(((M6/(L6/100))*AB3)&lt;4.81,M6/(L6/100)*AB3,"Error")</f>
        <v>4.8</v>
      </c>
      <c r="K6" s="47" t="s">
        <v>22</v>
      </c>
      <c r="L6" s="66">
        <v>200</v>
      </c>
      <c r="M6" s="66">
        <v>1280</v>
      </c>
      <c r="N6" s="49">
        <f>O6/3.6</f>
        <v>16.666666666666668</v>
      </c>
      <c r="O6" s="78">
        <f>O5</f>
        <v>60</v>
      </c>
      <c r="P6" s="2">
        <v>150</v>
      </c>
      <c r="Q6" s="2" t="s">
        <v>15</v>
      </c>
      <c r="R6" s="2" t="s">
        <v>15</v>
      </c>
      <c r="S6" s="2" t="s">
        <v>15</v>
      </c>
      <c r="T6" s="2" t="s">
        <v>15</v>
      </c>
      <c r="U6" s="2" t="s">
        <v>15</v>
      </c>
      <c r="V6" s="2">
        <v>2038</v>
      </c>
      <c r="W6" s="2"/>
      <c r="X6" s="20"/>
      <c r="Y6" s="20"/>
      <c r="Z6" s="20"/>
      <c r="AA6" s="22" t="s">
        <v>36</v>
      </c>
      <c r="AB6" s="19"/>
      <c r="AC6" s="23"/>
      <c r="AD6" s="24">
        <f>(ATAN((D4+D5)/(D3-D6))-ATAN(D4/D3))*360/(PI()*2)</f>
        <v>21.345786649089767</v>
      </c>
      <c r="AE6" s="22" t="s">
        <v>37</v>
      </c>
      <c r="AF6" s="24">
        <f>AD6</f>
        <v>21.345786649089767</v>
      </c>
      <c r="AG6" s="25">
        <f>AD6</f>
        <v>21.345786649089767</v>
      </c>
      <c r="AH6" s="25">
        <f>AD6</f>
        <v>21.345786649089767</v>
      </c>
      <c r="AI6" s="25"/>
      <c r="AJ6" s="93" t="s">
        <v>38</v>
      </c>
      <c r="AK6" s="99">
        <f>IF($AK$2="5L400",$AK$3,IF($AK$2="5L300",$AK$3*0.692,IF($AK$2="5L200",$AK$3/0.744,IF($AK$2="5L500",$AK$3/0.17,IF($AK$2="5L600",$AK$3/0.399)))))</f>
        <v>80</v>
      </c>
      <c r="AL6" s="98" t="s">
        <v>25</v>
      </c>
      <c r="AM6" s="99">
        <f>IF($AK$2="5L400",$AM$3,IF($AK$2="5L300",$AM$3*0.692,IF($AK$2="5L200",$AM$3/0.744,IF($AK$2="5L500",$AM$3/0.17,IF($AK$2="5L600",$AM$3/0.399)))))</f>
        <v>200</v>
      </c>
      <c r="AN6" s="100" t="s">
        <v>22</v>
      </c>
      <c r="AO6" s="3"/>
    </row>
    <row r="7" spans="1:41" ht="15" customHeight="1" thickTop="1" thickBot="1">
      <c r="A7" s="75"/>
      <c r="B7" s="3"/>
      <c r="C7" s="35"/>
      <c r="D7" s="35"/>
      <c r="E7" s="35"/>
      <c r="F7" s="118" t="s">
        <v>39</v>
      </c>
      <c r="G7" s="119"/>
      <c r="H7" s="119"/>
      <c r="I7" s="119"/>
      <c r="J7" s="48">
        <f>IF(((M7/(L7/100))*AB2)&lt;11.265,M7/(L7/100)*AB2,"Error")</f>
        <v>11.263999999999999</v>
      </c>
      <c r="K7" s="47" t="s">
        <v>22</v>
      </c>
      <c r="L7" s="66">
        <v>200</v>
      </c>
      <c r="M7" s="66">
        <v>2048</v>
      </c>
      <c r="N7" s="49">
        <f>O7/3.6</f>
        <v>16.666666666666668</v>
      </c>
      <c r="O7" s="78">
        <f>O6</f>
        <v>60</v>
      </c>
      <c r="P7" s="2">
        <v>200</v>
      </c>
      <c r="Q7" s="2" t="s">
        <v>15</v>
      </c>
      <c r="R7" s="2" t="s">
        <v>15</v>
      </c>
      <c r="S7" s="2" t="s">
        <v>15</v>
      </c>
      <c r="T7" s="2">
        <v>2696</v>
      </c>
      <c r="U7" s="2" t="s">
        <v>15</v>
      </c>
      <c r="V7" s="2" t="s">
        <v>15</v>
      </c>
      <c r="W7" s="2">
        <v>1280</v>
      </c>
      <c r="X7" s="20"/>
      <c r="Y7" s="20"/>
      <c r="Z7" s="20"/>
      <c r="AA7" s="22" t="s">
        <v>40</v>
      </c>
      <c r="AB7" s="19"/>
      <c r="AC7" s="23"/>
      <c r="AD7" s="26">
        <f>ASIN(J2/(SQRT(D3*D3+(D5+D4)*(D5+D4))*1000)/(2*PI())*360)*60</f>
        <v>0</v>
      </c>
      <c r="AE7" s="22" t="s">
        <v>41</v>
      </c>
      <c r="AF7" s="26">
        <f>AD7</f>
        <v>0</v>
      </c>
      <c r="AG7" s="27">
        <f>AD7</f>
        <v>0</v>
      </c>
      <c r="AH7" s="27" t="str">
        <f>AE7</f>
        <v>'</v>
      </c>
      <c r="AI7" s="27"/>
      <c r="AJ7" s="93" t="s">
        <v>42</v>
      </c>
      <c r="AK7" s="99">
        <f>IF($AK$2="5L500",$AK$3,IF($AK$2="5L300",$AK$3*0.1176,IF($AK$2="5L400",$AK$3*0.17,IF($AK$2="5L200",$AK$3*0.23,IF($AK$2="5L600",$AK$3*0.426)))))</f>
        <v>13.600000000000001</v>
      </c>
      <c r="AL7" s="98" t="s">
        <v>25</v>
      </c>
      <c r="AM7" s="99">
        <f>IF($AK$2="5L500",$AM$3,IF($AK$2="5L300",$AM$3*0.1176,IF($AK$2="5L400",$AM$3*0.17,IF($AK$2="5L200",$AM$3*0.23,IF($AK$2="5L600",$AM$3*0.426)))))</f>
        <v>34</v>
      </c>
      <c r="AN7" s="100" t="s">
        <v>22</v>
      </c>
      <c r="AO7" s="3"/>
    </row>
    <row r="8" spans="1:41" ht="15" customHeight="1" thickTop="1" thickBot="1">
      <c r="A8" s="75"/>
      <c r="B8" s="3"/>
      <c r="C8" s="3"/>
      <c r="D8" s="35"/>
      <c r="E8" s="35"/>
      <c r="F8" s="35"/>
      <c r="G8" s="53" t="s">
        <v>43</v>
      </c>
      <c r="H8" s="54"/>
      <c r="I8" s="55"/>
      <c r="J8" s="56" t="s">
        <v>44</v>
      </c>
      <c r="K8" s="57"/>
      <c r="L8" s="56" t="s">
        <v>45</v>
      </c>
      <c r="M8" s="56" t="s">
        <v>18</v>
      </c>
      <c r="N8" s="56" t="s">
        <v>46</v>
      </c>
      <c r="O8" s="79" t="s">
        <v>47</v>
      </c>
      <c r="P8" s="2">
        <v>300</v>
      </c>
      <c r="Q8" s="2" t="s">
        <v>15</v>
      </c>
      <c r="R8" s="2" t="s">
        <v>15</v>
      </c>
      <c r="S8" s="2" t="s">
        <v>15</v>
      </c>
      <c r="T8" s="2" t="s">
        <v>15</v>
      </c>
      <c r="U8" s="2" t="s">
        <v>15</v>
      </c>
      <c r="V8" s="2">
        <v>4078</v>
      </c>
      <c r="W8" s="2"/>
      <c r="X8" s="20"/>
      <c r="Y8" s="20"/>
      <c r="Z8" s="20"/>
      <c r="AA8" s="22" t="s">
        <v>48</v>
      </c>
      <c r="AB8" s="19"/>
      <c r="AC8" s="23"/>
      <c r="AD8" s="24">
        <f>SQRT((D3-1)*(D3-1)+(D4+D5/2)*(D4+D5/2))</f>
        <v>35.387144558440994</v>
      </c>
      <c r="AE8" s="22" t="s">
        <v>20</v>
      </c>
      <c r="AF8" s="24">
        <f>AD8</f>
        <v>35.387144558440994</v>
      </c>
      <c r="AG8" s="25">
        <f>AD8</f>
        <v>35.387144558440994</v>
      </c>
      <c r="AH8" s="25" t="str">
        <f>AE8</f>
        <v>m</v>
      </c>
      <c r="AI8" s="25"/>
      <c r="AJ8" s="101" t="s">
        <v>49</v>
      </c>
      <c r="AK8" s="102">
        <f>IF($AK$2="5L600",$AK$3,IF($AK$2="5L300",$AK$3*0.276,IF($AK$2="5L400",$AK$3*0.399,IF($AK$2="5L500",$AK$3/0.4261,IF($AK$2="5L200",$AK$3*0.536)))))</f>
        <v>31.92</v>
      </c>
      <c r="AL8" s="103" t="s">
        <v>25</v>
      </c>
      <c r="AM8" s="102">
        <f>IF($AK$2="5L600",$AM$3,IF($AK$2="5L300",$AM$3*0.276,IF($AK$2="5L400",$AM$3*0.399,IF($AK$2="5L500",$AM$3/0.4261,IF($AK$2="5L200",$AM$3*0.536)))))</f>
        <v>79.800000000000011</v>
      </c>
      <c r="AN8" s="104" t="s">
        <v>22</v>
      </c>
      <c r="AO8" s="3"/>
    </row>
    <row r="9" spans="1:41" ht="15" customHeight="1" thickTop="1">
      <c r="A9" s="116" t="s">
        <v>50</v>
      </c>
      <c r="B9" s="3"/>
      <c r="C9" s="38" t="s">
        <v>51</v>
      </c>
      <c r="D9" s="35"/>
      <c r="E9" s="35"/>
      <c r="F9" s="35"/>
      <c r="G9" s="120" t="s">
        <v>52</v>
      </c>
      <c r="H9" s="119"/>
      <c r="I9" s="119"/>
      <c r="J9" s="58">
        <f>J3/2/TAN(AD6*PI()*2/360/2)</f>
        <v>55.732583989148431</v>
      </c>
      <c r="K9" s="59" t="s">
        <v>22</v>
      </c>
      <c r="L9" s="58">
        <f>J4/2/TAN(AF6*PI()*2/360/2)</f>
        <v>106.12218144785115</v>
      </c>
      <c r="M9" s="58">
        <f>J5/2/TAN(AD6*PI()*2/360/2)</f>
        <v>74.904592881415496</v>
      </c>
      <c r="N9" s="60">
        <f>J6/2/TAN(AG6*PI()*2/360/2)</f>
        <v>12.73466177374214</v>
      </c>
      <c r="O9" s="80">
        <f>J7/2/TAN(AH6*PI()*2/360/2)</f>
        <v>29.884006295714887</v>
      </c>
      <c r="P9" s="2"/>
      <c r="Q9" s="2"/>
      <c r="R9" s="2"/>
      <c r="S9" s="2"/>
      <c r="T9" s="2"/>
      <c r="U9" s="2"/>
      <c r="V9" s="2"/>
      <c r="W9" s="2"/>
      <c r="X9" s="20"/>
      <c r="Y9" s="20"/>
      <c r="Z9" s="20"/>
      <c r="AA9" s="19" t="s">
        <v>53</v>
      </c>
      <c r="AB9" s="19"/>
      <c r="AC9" s="19"/>
      <c r="AD9" s="28">
        <f>$N$5*(ATAN($D$4/($D$3-$D$6))-ATAN($D$4/$D$3))*$M$5/$D$6/(ATAN(($D$4+$D$5)/($D$3-$D$6))-ATAN($D$4/$D$3))</f>
        <v>2041.9041040210579</v>
      </c>
      <c r="AE9" s="19" t="s">
        <v>54</v>
      </c>
      <c r="AF9" s="28">
        <f>$N$5*(ATAN($D$4/($D$3-$D$6))-ATAN($D$4/$D$3))*$M$4/$D$6/(ATAN(($D$4+$D$5)/($D$3-$D$6))-ATAN($D$4/$D$3))</f>
        <v>3038.5477738408599</v>
      </c>
      <c r="AG9" s="28">
        <f>$N$5*(ATAN($D$4/($D$3-$D$6))-ATAN($D$4/$D$3))*$M$6/$D$6/(ATAN(($D$4+$D$5)/($D$3-$D$6))-ATAN($D$4/$D$3))</f>
        <v>1944.6705752581504</v>
      </c>
      <c r="AH9" s="28">
        <f>$N$5*(ATAN($D$4/($D$3-$D$6))-ATAN($D$4/$D$3))*$M$7/$D$6/(ATAN(($D$4+$D$5)/($D$3-$D$6))-ATAN($D$4/$D$3))</f>
        <v>3111.4729204130408</v>
      </c>
      <c r="AI9" s="28"/>
      <c r="AJ9" s="20"/>
      <c r="AK9" s="20"/>
      <c r="AL9" s="20"/>
      <c r="AM9" s="20"/>
      <c r="AN9" s="20"/>
      <c r="AO9" s="3"/>
    </row>
    <row r="10" spans="1:41" ht="15" customHeight="1">
      <c r="A10" s="117"/>
      <c r="B10" s="3"/>
      <c r="C10" s="38" t="s">
        <v>51</v>
      </c>
      <c r="D10" s="35"/>
      <c r="E10" s="35"/>
      <c r="F10" s="35"/>
      <c r="G10" s="121" t="s">
        <v>55</v>
      </c>
      <c r="H10" s="122"/>
      <c r="I10" s="122"/>
      <c r="J10" s="61">
        <f>AD10+(AD9-AD10)*0.5</f>
        <v>1631.8713718561444</v>
      </c>
      <c r="K10" s="59" t="s">
        <v>56</v>
      </c>
      <c r="L10" s="61">
        <f>AF10+(AF9-AF10)*0.5</f>
        <v>2428.3800176430718</v>
      </c>
      <c r="M10" s="61">
        <f>AD10+(AD9-AD10)*0.5</f>
        <v>1631.8713718561444</v>
      </c>
      <c r="N10" s="61">
        <f>AG10+(AG9-AG10)*0.5</f>
        <v>1554.1632112915659</v>
      </c>
      <c r="O10" s="81">
        <f>AH10+(AH9-AH10)*0.5</f>
        <v>2486.6611380665058</v>
      </c>
      <c r="P10" s="19"/>
      <c r="Q10" s="19"/>
      <c r="R10" s="19"/>
      <c r="S10" s="20"/>
      <c r="T10" s="20"/>
      <c r="U10" s="29">
        <v>2</v>
      </c>
      <c r="V10" s="19"/>
      <c r="W10" s="29">
        <v>1</v>
      </c>
      <c r="X10" s="19"/>
      <c r="Y10" s="29">
        <v>0.5</v>
      </c>
      <c r="Z10" s="19"/>
      <c r="AA10" s="19" t="s">
        <v>57</v>
      </c>
      <c r="AB10" s="19"/>
      <c r="AC10" s="19"/>
      <c r="AD10" s="28">
        <f>$N$5*(ATAN($D$3/($D$4+$D$5))-ATAN(($D$3-$D$6)/($D$4+$D$5)))*$M$5/$D$6/(PI()/2-ATAN(($D$3-$D$6)/($D$4+$D$5))-ATAN($D$4/$D$3))</f>
        <v>1221.8386396912306</v>
      </c>
      <c r="AE10" s="19" t="s">
        <v>54</v>
      </c>
      <c r="AF10" s="28">
        <f>$N$5*(ATAN($D$3/($D$4+$D$5))-ATAN(($D$3-$D$6)/($D$4+$D$5)))*$M$4/$D$6/(PI()/2-ATAN(($D$3-$D$6)/($D$4+$D$5))-ATAN($D$4/$D$3))</f>
        <v>1818.2122614452835</v>
      </c>
      <c r="AG10" s="28">
        <f>$N$5*(ATAN($D$3/($D$4+$D$5))-ATAN(($D$3-$D$6)/($D$4+$D$5)))*$M$6/$D$6/(PI()/2-ATAN(($D$3-$D$6)/($D$4+$D$5))-ATAN($D$4/$D$3))</f>
        <v>1163.6558473249816</v>
      </c>
      <c r="AH10" s="28">
        <f>$N$5*(ATAN($D$3/($D$4+$D$5))-ATAN(($D$3-$D$6)/($D$4+$D$5)))*$M$7/$D$6/(PI()/2-ATAN(($D$3-$D$6)/($D$4+$D$5))-ATAN($D$4/$D$3))</f>
        <v>1861.8493557199706</v>
      </c>
      <c r="AI10" s="28"/>
      <c r="AJ10" s="32"/>
      <c r="AK10" s="32"/>
      <c r="AL10" s="32"/>
      <c r="AM10" s="32"/>
      <c r="AN10" s="32"/>
      <c r="AO10" s="3"/>
    </row>
    <row r="11" spans="1:41" ht="14.1" customHeight="1">
      <c r="A11" s="117"/>
      <c r="B11" s="3"/>
      <c r="C11" s="38" t="s">
        <v>51</v>
      </c>
      <c r="D11" s="35"/>
      <c r="E11" s="35"/>
      <c r="F11" s="35"/>
      <c r="G11" s="120" t="s">
        <v>58</v>
      </c>
      <c r="H11" s="119"/>
      <c r="I11" s="119"/>
      <c r="J11" s="62">
        <f>M11</f>
        <v>26.197004321299136</v>
      </c>
      <c r="K11" s="63" t="s">
        <v>59</v>
      </c>
      <c r="L11" s="62">
        <f>M11</f>
        <v>26.197004321299136</v>
      </c>
      <c r="M11" s="62">
        <f>(ATAN(D3/D4)*360/PI()/2)-(AD6/2)</f>
        <v>26.197004321299136</v>
      </c>
      <c r="N11" s="62">
        <f>M11</f>
        <v>26.197004321299136</v>
      </c>
      <c r="O11" s="82">
        <f>N11</f>
        <v>26.197004321299136</v>
      </c>
      <c r="P11" s="19" t="s">
        <v>60</v>
      </c>
      <c r="Q11" s="19"/>
      <c r="R11" s="19"/>
      <c r="S11" s="28">
        <f>(PI()/2-ATAN((D3-D6)/(D4+D5))-ATAN(D4/D3))*360/(2*PI())</f>
        <v>21.345786649089767</v>
      </c>
      <c r="T11" s="28">
        <f>S11</f>
        <v>21.345786649089767</v>
      </c>
      <c r="U11" s="19" t="s">
        <v>12</v>
      </c>
      <c r="V11" s="19" t="s">
        <v>61</v>
      </c>
      <c r="W11" s="19" t="s">
        <v>12</v>
      </c>
      <c r="X11" s="19" t="s">
        <v>61</v>
      </c>
      <c r="Y11" s="19" t="s">
        <v>12</v>
      </c>
      <c r="Z11" s="19" t="s">
        <v>61</v>
      </c>
      <c r="AJ11" s="32"/>
      <c r="AK11" s="32"/>
      <c r="AL11" s="32"/>
      <c r="AM11" s="32"/>
      <c r="AN11" s="32"/>
      <c r="AO11" s="3"/>
    </row>
    <row r="12" spans="1:41" ht="12.9" customHeight="1">
      <c r="A12" s="117"/>
      <c r="B12" s="3"/>
      <c r="C12" s="38" t="s">
        <v>51</v>
      </c>
      <c r="D12" s="35"/>
      <c r="E12" s="35"/>
      <c r="F12" s="3"/>
      <c r="G12" s="3"/>
      <c r="H12" s="3"/>
      <c r="I12" s="3"/>
      <c r="J12" s="3"/>
      <c r="K12" s="3"/>
      <c r="L12" s="3"/>
      <c r="M12" s="64"/>
      <c r="N12" s="3"/>
      <c r="O12" s="83"/>
      <c r="P12" s="19" t="s">
        <v>62</v>
      </c>
      <c r="Q12" s="19"/>
      <c r="R12" s="19"/>
      <c r="S12" s="30">
        <f>(ATAN(D3/(D4+D5))-ATAN((D3-D6)/(D4+D5)))*360/(2*PI())</f>
        <v>2.9108378261677537</v>
      </c>
      <c r="T12" s="30">
        <f>S12</f>
        <v>2.9108378261677537</v>
      </c>
      <c r="U12" s="19">
        <v>100</v>
      </c>
      <c r="V12" s="19">
        <v>3623</v>
      </c>
      <c r="W12" s="19"/>
      <c r="X12" s="19"/>
      <c r="Y12" s="19"/>
      <c r="Z12" s="19"/>
      <c r="AA12" s="16"/>
      <c r="AB12" s="16"/>
      <c r="AC12" s="16"/>
      <c r="AD12" s="16"/>
      <c r="AE12" s="16"/>
      <c r="AF12" s="16"/>
      <c r="AG12" s="16"/>
      <c r="AH12" s="16"/>
      <c r="AI12" s="16"/>
      <c r="AJ12" s="32"/>
      <c r="AK12" s="32"/>
      <c r="AL12" s="32"/>
      <c r="AM12" s="32"/>
      <c r="AN12" s="32"/>
      <c r="AO12" s="3"/>
    </row>
    <row r="13" spans="1:41" ht="12.9" customHeight="1">
      <c r="A13" s="117"/>
      <c r="B13" s="3"/>
      <c r="C13" s="38" t="s">
        <v>51</v>
      </c>
      <c r="D13" s="35"/>
      <c r="E13" s="35"/>
      <c r="F13" s="3"/>
      <c r="G13" s="3"/>
      <c r="H13" s="3"/>
      <c r="I13" s="3"/>
      <c r="J13" s="3"/>
      <c r="K13" s="3"/>
      <c r="L13" s="3"/>
      <c r="M13" s="64"/>
      <c r="N13" s="3"/>
      <c r="O13" s="83"/>
      <c r="P13" s="19" t="s">
        <v>63</v>
      </c>
      <c r="Q13" s="19"/>
      <c r="R13" s="19"/>
      <c r="S13" s="31">
        <f>S12/S11</f>
        <v>0.13636591960839628</v>
      </c>
      <c r="T13" s="31">
        <f>S13</f>
        <v>0.13636591960839628</v>
      </c>
      <c r="U13" s="19">
        <f t="shared" ref="U13:U37" si="0">U12+100</f>
        <v>200</v>
      </c>
      <c r="V13" s="19">
        <v>3333</v>
      </c>
      <c r="W13" s="19">
        <v>100</v>
      </c>
      <c r="X13" s="19">
        <v>3856</v>
      </c>
      <c r="Y13" s="19"/>
      <c r="Z13" s="19"/>
      <c r="AA13" s="16"/>
      <c r="AB13" s="16"/>
      <c r="AC13" s="16"/>
      <c r="AD13" s="16"/>
      <c r="AE13" s="16"/>
      <c r="AF13" s="16"/>
      <c r="AG13" s="16"/>
      <c r="AH13" s="16"/>
      <c r="AI13" s="16"/>
      <c r="AJ13" s="32"/>
      <c r="AK13" s="32"/>
      <c r="AL13" s="32"/>
      <c r="AM13" s="32"/>
      <c r="AN13" s="32"/>
      <c r="AO13" s="3"/>
    </row>
    <row r="14" spans="1:41" ht="12.9" customHeight="1">
      <c r="A14" s="117"/>
      <c r="B14" s="3"/>
      <c r="C14" s="38" t="s">
        <v>64</v>
      </c>
      <c r="D14" s="35"/>
      <c r="E14" s="35"/>
      <c r="F14" s="3"/>
      <c r="G14" s="3"/>
      <c r="H14" s="3"/>
      <c r="I14" s="3"/>
      <c r="J14" s="3"/>
      <c r="K14" s="3"/>
      <c r="L14" s="3"/>
      <c r="M14" s="64"/>
      <c r="N14" s="3"/>
      <c r="O14" s="83"/>
      <c r="P14" s="19" t="s">
        <v>65</v>
      </c>
      <c r="Q14" s="19"/>
      <c r="R14" s="19"/>
      <c r="S14" s="28">
        <f>S13*M5</f>
        <v>183.27579595368459</v>
      </c>
      <c r="T14" s="28">
        <f>T13*M4</f>
        <v>272.73183921679254</v>
      </c>
      <c r="U14" s="19">
        <f t="shared" si="0"/>
        <v>300</v>
      </c>
      <c r="V14" s="19">
        <v>3067</v>
      </c>
      <c r="W14" s="19"/>
      <c r="X14" s="19"/>
      <c r="Y14" s="19"/>
      <c r="Z14" s="19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3"/>
    </row>
    <row r="15" spans="1:41" ht="12.9" customHeight="1">
      <c r="A15" s="117"/>
      <c r="B15" s="3"/>
      <c r="C15" s="38" t="s">
        <v>51</v>
      </c>
      <c r="D15" s="33"/>
      <c r="E15" s="33"/>
      <c r="F15" s="33"/>
      <c r="G15" s="33"/>
      <c r="H15" s="33"/>
      <c r="I15" s="33"/>
      <c r="J15" s="33"/>
      <c r="K15" s="39" t="s">
        <v>66</v>
      </c>
      <c r="L15" s="16"/>
      <c r="M15" s="17"/>
      <c r="N15" s="16"/>
      <c r="O15" s="84"/>
      <c r="P15" s="19" t="s">
        <v>67</v>
      </c>
      <c r="Q15" s="19"/>
      <c r="R15" s="19"/>
      <c r="S15" s="28">
        <f>D6/S14*1000</f>
        <v>13.640644619717119</v>
      </c>
      <c r="T15" s="28">
        <f>D6/T14*1000</f>
        <v>9.1665131844499026</v>
      </c>
      <c r="U15" s="19">
        <f t="shared" si="0"/>
        <v>400</v>
      </c>
      <c r="V15" s="19">
        <v>2857</v>
      </c>
      <c r="W15" s="19">
        <f>W13+100</f>
        <v>200</v>
      </c>
      <c r="X15" s="19">
        <v>3631</v>
      </c>
      <c r="Y15" s="19">
        <v>100</v>
      </c>
      <c r="Z15" s="19">
        <v>3614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3"/>
    </row>
    <row r="16" spans="1:41" ht="14.1" customHeight="1">
      <c r="A16" s="117"/>
      <c r="B16" s="3"/>
      <c r="C16" s="38" t="s">
        <v>51</v>
      </c>
      <c r="D16" s="33"/>
      <c r="E16" s="33"/>
      <c r="F16" s="33" t="s">
        <v>68</v>
      </c>
      <c r="G16" s="33"/>
      <c r="H16" s="33"/>
      <c r="I16" s="37" t="s">
        <v>69</v>
      </c>
      <c r="J16" s="34"/>
      <c r="K16" s="39" t="s">
        <v>51</v>
      </c>
      <c r="L16" s="16"/>
      <c r="M16" s="17"/>
      <c r="N16" s="16"/>
      <c r="O16" s="84"/>
      <c r="P16" s="19" t="s">
        <v>70</v>
      </c>
      <c r="Q16" s="19"/>
      <c r="R16" s="19"/>
      <c r="S16" s="28">
        <f>$N$5*(ATAN($D$3/($D$4+$D$5))-ATAN(($D$3-$D$6)/($D$4+$D$5)))*$M$5/$D$6/(PI()/2-ATAN(($D$3-$D$6)/($D$4+$D$5))-ATAN($D$4/$D$3))</f>
        <v>1221.8386396912306</v>
      </c>
      <c r="T16" s="28">
        <f>$N$5*(ATAN($D$3/($D$4+$D$5))-ATAN(($D$3-$D$6)/($D$4+$D$5)))*$M$4/$D$6/(PI()/2-ATAN(($D$3-$D$6)/($D$4+$D$5))-ATAN($D$4/$D$3))</f>
        <v>1818.2122614452835</v>
      </c>
      <c r="U16" s="19">
        <f t="shared" si="0"/>
        <v>500</v>
      </c>
      <c r="V16" s="19">
        <v>2659</v>
      </c>
      <c r="W16" s="19"/>
      <c r="X16" s="19"/>
      <c r="Y16" s="19"/>
      <c r="Z16" s="19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3"/>
    </row>
    <row r="17" spans="1:41" ht="14.1" customHeight="1">
      <c r="A17" s="75"/>
      <c r="B17" s="3"/>
      <c r="C17" s="37" t="s">
        <v>71</v>
      </c>
      <c r="D17" s="36" t="s">
        <v>72</v>
      </c>
      <c r="E17" s="36"/>
      <c r="F17" s="36" t="s">
        <v>72</v>
      </c>
      <c r="G17" s="36" t="s">
        <v>72</v>
      </c>
      <c r="H17" s="36" t="s">
        <v>72</v>
      </c>
      <c r="I17" s="40" t="s">
        <v>73</v>
      </c>
      <c r="J17" s="36" t="s">
        <v>72</v>
      </c>
      <c r="K17" s="34" t="s">
        <v>74</v>
      </c>
      <c r="L17" s="16"/>
      <c r="M17" s="17"/>
      <c r="N17" s="16"/>
      <c r="O17" s="84"/>
      <c r="P17" s="19"/>
      <c r="Q17" s="19"/>
      <c r="R17" s="19"/>
      <c r="S17" s="19"/>
      <c r="T17" s="19"/>
      <c r="U17" s="19">
        <f t="shared" si="0"/>
        <v>600</v>
      </c>
      <c r="V17" s="19">
        <v>2500</v>
      </c>
      <c r="W17" s="19">
        <f>W15+100</f>
        <v>300</v>
      </c>
      <c r="X17" s="19">
        <v>3416</v>
      </c>
      <c r="Y17" s="19"/>
      <c r="Z17" s="19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3"/>
    </row>
    <row r="18" spans="1:41" ht="12" customHeight="1" thickBot="1">
      <c r="A18" s="85"/>
      <c r="B18" s="86"/>
      <c r="C18" s="87" t="s">
        <v>75</v>
      </c>
      <c r="D18" s="88" t="s">
        <v>72</v>
      </c>
      <c r="E18" s="88"/>
      <c r="F18" s="114" t="s">
        <v>76</v>
      </c>
      <c r="G18" s="115"/>
      <c r="H18" s="115"/>
      <c r="I18" s="89" t="s">
        <v>77</v>
      </c>
      <c r="J18" s="87" t="s">
        <v>78</v>
      </c>
      <c r="K18" s="89" t="s">
        <v>51</v>
      </c>
      <c r="L18" s="90"/>
      <c r="M18" s="91"/>
      <c r="N18" s="90"/>
      <c r="O18" s="92"/>
      <c r="P18" s="19" t="s">
        <v>60</v>
      </c>
      <c r="Q18" s="19"/>
      <c r="R18" s="19"/>
      <c r="S18" s="28">
        <f>(PI()/2-ATAN((D3-D6)/(D4+D5))-ATAN(D4/D3))*360/(2*PI())</f>
        <v>21.345786649089767</v>
      </c>
      <c r="T18" s="28">
        <f>S18</f>
        <v>21.345786649089767</v>
      </c>
      <c r="U18" s="19">
        <f t="shared" si="0"/>
        <v>700</v>
      </c>
      <c r="V18" s="19">
        <v>2347</v>
      </c>
      <c r="W18" s="19"/>
      <c r="X18" s="19"/>
      <c r="Y18" s="19"/>
      <c r="Z18" s="19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3"/>
    </row>
    <row r="19" spans="1:41" ht="6.75" customHeight="1" thickTop="1">
      <c r="L19" s="16"/>
      <c r="M19" s="17"/>
      <c r="N19" s="16"/>
      <c r="O19" s="16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1" s="3" customFormat="1" ht="20.100000000000001" customHeight="1">
      <c r="L20" s="35"/>
      <c r="M20" s="21"/>
      <c r="N20" s="16"/>
      <c r="O20" s="1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41" s="3" customFormat="1" ht="20.100000000000001" customHeight="1">
      <c r="L21" s="4"/>
      <c r="M21" s="5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41" s="3" customFormat="1" ht="12.9" customHeight="1">
      <c r="L22" s="4"/>
      <c r="M22" s="5"/>
      <c r="P22" s="7" t="s">
        <v>79</v>
      </c>
      <c r="Q22" s="7"/>
      <c r="R22" s="7"/>
      <c r="S22" s="8">
        <f>(ATAN(D4/(D3-D6))-ATAN(D4/D3))*360/(2*PI())</f>
        <v>4.8645144377605245</v>
      </c>
      <c r="T22" s="9">
        <f>S22</f>
        <v>4.8645144377605245</v>
      </c>
      <c r="U22" s="10">
        <f>U18+100</f>
        <v>800</v>
      </c>
      <c r="V22" s="10">
        <v>2222</v>
      </c>
      <c r="W22" s="10">
        <f>W17+100</f>
        <v>400</v>
      </c>
      <c r="X22" s="10">
        <v>3239</v>
      </c>
      <c r="Y22" s="10">
        <v>200</v>
      </c>
      <c r="Z22" s="10">
        <v>3239</v>
      </c>
    </row>
    <row r="23" spans="1:41" s="3" customFormat="1" ht="12.9" customHeight="1">
      <c r="E23" s="107"/>
      <c r="F23" s="107"/>
      <c r="G23" s="107"/>
      <c r="P23" s="7" t="s">
        <v>63</v>
      </c>
      <c r="Q23" s="7"/>
      <c r="R23" s="7"/>
      <c r="S23" s="11">
        <f>S22/S18</f>
        <v>0.22789108303806449</v>
      </c>
      <c r="T23" s="12">
        <f>S23</f>
        <v>0.22789108303806449</v>
      </c>
      <c r="U23" s="10">
        <f>U22+100</f>
        <v>900</v>
      </c>
      <c r="V23" s="10">
        <v>2100</v>
      </c>
      <c r="W23" s="10"/>
      <c r="X23" s="10"/>
      <c r="Y23" s="10"/>
      <c r="Z23" s="10"/>
    </row>
    <row r="24" spans="1:41" s="3" customFormat="1" ht="12.9" customHeight="1">
      <c r="E24" s="107"/>
      <c r="F24" s="107"/>
      <c r="G24" s="107"/>
      <c r="P24" s="7" t="s">
        <v>65</v>
      </c>
      <c r="Q24" s="7"/>
      <c r="R24" s="7"/>
      <c r="S24" s="13">
        <f>S23*M5</f>
        <v>306.2856156031587</v>
      </c>
      <c r="T24" s="13">
        <f>T23*M4</f>
        <v>455.78216607612899</v>
      </c>
      <c r="U24" s="10">
        <f>U23+100</f>
        <v>1000</v>
      </c>
      <c r="V24" s="10">
        <v>2000</v>
      </c>
      <c r="W24" s="10">
        <f>W22+100</f>
        <v>500</v>
      </c>
      <c r="X24" s="10">
        <v>3067</v>
      </c>
      <c r="Y24" s="10"/>
      <c r="Z24" s="10"/>
    </row>
    <row r="25" spans="1:41" s="3" customFormat="1" ht="12.9" customHeight="1">
      <c r="E25" s="107"/>
      <c r="F25" s="107"/>
      <c r="G25" s="107"/>
      <c r="P25" s="7" t="s">
        <v>67</v>
      </c>
      <c r="Q25" s="7"/>
      <c r="R25" s="7"/>
      <c r="S25" s="13">
        <f>D6/S24*1000</f>
        <v>8.162316062662061</v>
      </c>
      <c r="T25" s="13">
        <f>D6/T24*1000</f>
        <v>5.4850763941089058</v>
      </c>
      <c r="U25" s="10">
        <f>U24+100</f>
        <v>1100</v>
      </c>
      <c r="V25" s="10">
        <v>1901</v>
      </c>
      <c r="W25" s="10"/>
      <c r="X25" s="10"/>
      <c r="Y25" s="10"/>
      <c r="Z25" s="10"/>
    </row>
    <row r="26" spans="1:41" s="3" customFormat="1" ht="12" customHeight="1">
      <c r="C26" s="4"/>
      <c r="D26" s="4"/>
      <c r="E26" s="108"/>
      <c r="F26" s="108"/>
      <c r="G26" s="108"/>
      <c r="H26" s="4"/>
      <c r="I26" s="4"/>
      <c r="J26" s="4"/>
      <c r="K26" s="4"/>
      <c r="L26" s="4"/>
      <c r="M26" s="5"/>
      <c r="N26" s="4"/>
      <c r="O26" s="4"/>
      <c r="P26" s="10"/>
      <c r="Q26" s="10"/>
      <c r="R26" s="10"/>
      <c r="S26" s="6"/>
      <c r="T26" s="6"/>
      <c r="U26" s="10" t="e">
        <f>#REF!+100</f>
        <v>#REF!</v>
      </c>
      <c r="V26" s="10">
        <v>1597</v>
      </c>
      <c r="W26" s="10"/>
      <c r="X26" s="10"/>
      <c r="Y26" s="10"/>
      <c r="Z26" s="10"/>
    </row>
    <row r="27" spans="1:41" s="3" customFormat="1" ht="12" customHeight="1">
      <c r="C27" s="4"/>
      <c r="D27" s="4"/>
      <c r="E27" s="108"/>
      <c r="F27" s="108"/>
      <c r="G27" s="108"/>
      <c r="H27" s="4"/>
      <c r="I27" s="4"/>
      <c r="J27" s="4"/>
      <c r="K27" s="4"/>
      <c r="L27" s="4"/>
      <c r="M27" s="5"/>
      <c r="N27" s="4"/>
      <c r="O27" s="4"/>
      <c r="P27" s="10"/>
      <c r="Q27" s="10"/>
      <c r="R27" s="10"/>
      <c r="S27" s="6"/>
      <c r="T27" s="6"/>
      <c r="U27" s="10" t="e">
        <f t="shared" si="0"/>
        <v>#REF!</v>
      </c>
      <c r="V27" s="10">
        <v>1538</v>
      </c>
      <c r="W27" s="10" t="e">
        <f>#REF!+100</f>
        <v>#REF!</v>
      </c>
      <c r="X27" s="10">
        <v>2664</v>
      </c>
      <c r="Y27" s="10">
        <v>400</v>
      </c>
      <c r="Z27" s="10">
        <v>2664</v>
      </c>
    </row>
    <row r="28" spans="1:41" s="3" customFormat="1" ht="12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4"/>
      <c r="O28" s="4"/>
      <c r="P28" s="10"/>
      <c r="Q28" s="10"/>
      <c r="R28" s="10"/>
      <c r="S28" s="6"/>
      <c r="T28" s="6"/>
      <c r="U28" s="10" t="e">
        <f t="shared" si="0"/>
        <v>#REF!</v>
      </c>
      <c r="V28" s="10">
        <v>1479</v>
      </c>
      <c r="W28" s="10"/>
      <c r="X28" s="10"/>
      <c r="Y28" s="10"/>
      <c r="Z28" s="10"/>
    </row>
    <row r="29" spans="1:41" s="3" customFormat="1" ht="12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4"/>
      <c r="O29" s="4"/>
      <c r="P29" s="10"/>
      <c r="Q29" s="10"/>
      <c r="R29" s="10"/>
      <c r="S29" s="6"/>
      <c r="T29" s="6"/>
      <c r="U29" s="10" t="e">
        <f t="shared" si="0"/>
        <v>#REF!</v>
      </c>
      <c r="V29" s="10">
        <v>1428</v>
      </c>
      <c r="W29" s="10" t="e">
        <f>W27+100</f>
        <v>#REF!</v>
      </c>
      <c r="X29" s="10">
        <v>2546</v>
      </c>
      <c r="Y29" s="10"/>
      <c r="Z29" s="10"/>
    </row>
    <row r="30" spans="1:41" s="3" customFormat="1" ht="12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5"/>
      <c r="N30" s="4"/>
      <c r="O30" s="4"/>
      <c r="P30" s="10"/>
      <c r="Q30" s="10"/>
      <c r="R30" s="10"/>
      <c r="S30" s="6"/>
      <c r="T30" s="6"/>
      <c r="U30" s="10" t="e">
        <f t="shared" si="0"/>
        <v>#REF!</v>
      </c>
      <c r="V30" s="10">
        <v>1377</v>
      </c>
      <c r="W30" s="10"/>
      <c r="X30" s="10"/>
      <c r="Y30" s="10"/>
      <c r="Z30" s="10"/>
    </row>
    <row r="31" spans="1:41" s="3" customFormat="1" ht="12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N31" s="4"/>
      <c r="O31" s="4"/>
      <c r="P31" s="10"/>
      <c r="Q31" s="10"/>
      <c r="R31" s="10"/>
      <c r="S31" s="6"/>
      <c r="T31" s="6"/>
      <c r="U31" s="10" t="e">
        <f t="shared" si="0"/>
        <v>#REF!</v>
      </c>
      <c r="V31" s="10">
        <v>1333</v>
      </c>
      <c r="W31" s="10" t="e">
        <f>W29+100</f>
        <v>#REF!</v>
      </c>
      <c r="X31" s="10">
        <v>2446</v>
      </c>
      <c r="Y31" s="10">
        <v>500</v>
      </c>
      <c r="Z31" s="10">
        <v>2439</v>
      </c>
    </row>
    <row r="32" spans="1:41" s="3" customFormat="1" ht="12" customHeight="1">
      <c r="C32" s="4"/>
      <c r="D32" s="4"/>
      <c r="E32" s="4"/>
      <c r="F32" s="4"/>
      <c r="G32" s="4"/>
      <c r="H32" s="4"/>
      <c r="I32" s="4"/>
      <c r="J32" s="4"/>
      <c r="K32" s="4"/>
      <c r="L32" s="4"/>
      <c r="M32" s="5"/>
      <c r="N32" s="4"/>
      <c r="O32" s="4"/>
      <c r="P32" s="10"/>
      <c r="Q32" s="10"/>
      <c r="R32" s="10"/>
      <c r="S32" s="6"/>
      <c r="T32" s="6"/>
      <c r="U32" s="10" t="e">
        <f t="shared" si="0"/>
        <v>#REF!</v>
      </c>
      <c r="V32" s="10">
        <v>1288</v>
      </c>
      <c r="W32" s="10"/>
      <c r="X32" s="10"/>
      <c r="Y32" s="10"/>
      <c r="Z32" s="10"/>
    </row>
    <row r="33" spans="3:26" s="3" customFormat="1" ht="12" customHeight="1">
      <c r="C33" s="4"/>
      <c r="D33" s="4"/>
      <c r="E33" s="4"/>
      <c r="F33" s="4"/>
      <c r="G33" s="4"/>
      <c r="H33" s="4"/>
      <c r="I33" s="4"/>
      <c r="J33" s="4"/>
      <c r="K33" s="4"/>
      <c r="L33" s="4"/>
      <c r="M33" s="14"/>
      <c r="N33" s="4"/>
      <c r="O33" s="4"/>
      <c r="P33" s="10"/>
      <c r="Q33" s="10"/>
      <c r="R33" s="10"/>
      <c r="S33" s="6"/>
      <c r="T33" s="6"/>
      <c r="U33" s="10" t="e">
        <f t="shared" si="0"/>
        <v>#REF!</v>
      </c>
      <c r="V33" s="10">
        <v>1250</v>
      </c>
      <c r="W33" s="10" t="e">
        <f>W31+100</f>
        <v>#REF!</v>
      </c>
      <c r="X33" s="10">
        <v>2347</v>
      </c>
      <c r="Y33" s="10"/>
      <c r="Z33" s="10"/>
    </row>
    <row r="34" spans="3:26" s="3" customFormat="1" ht="12" customHeight="1"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4"/>
      <c r="O34" s="4"/>
      <c r="P34" s="10"/>
      <c r="Q34" s="10"/>
      <c r="R34" s="10"/>
      <c r="S34" s="6"/>
      <c r="T34" s="6"/>
      <c r="U34" s="10" t="e">
        <f t="shared" si="0"/>
        <v>#REF!</v>
      </c>
      <c r="V34" s="10">
        <v>1210</v>
      </c>
      <c r="W34" s="10"/>
      <c r="X34" s="10"/>
      <c r="Y34" s="10"/>
      <c r="Z34" s="10"/>
    </row>
    <row r="35" spans="3:26" s="3" customFormat="1" ht="12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4"/>
      <c r="O35" s="4"/>
      <c r="P35" s="10"/>
      <c r="Q35" s="10"/>
      <c r="R35" s="10"/>
      <c r="S35" s="6"/>
      <c r="T35" s="6"/>
      <c r="U35" s="10" t="e">
        <f t="shared" si="0"/>
        <v>#REF!</v>
      </c>
      <c r="V35" s="10">
        <v>1176</v>
      </c>
      <c r="W35" s="10" t="e">
        <f>W33+100</f>
        <v>#REF!</v>
      </c>
      <c r="X35" s="10">
        <v>2262</v>
      </c>
      <c r="Y35" s="10">
        <v>600</v>
      </c>
      <c r="Z35" s="10">
        <v>2262</v>
      </c>
    </row>
    <row r="36" spans="3:26" s="3" customFormat="1" ht="12" customHeight="1"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10"/>
      <c r="Q36" s="10"/>
      <c r="R36" s="10"/>
      <c r="S36" s="6"/>
      <c r="T36" s="6"/>
      <c r="U36" s="10" t="e">
        <f t="shared" si="0"/>
        <v>#REF!</v>
      </c>
      <c r="V36" s="10">
        <v>1141</v>
      </c>
      <c r="W36" s="10"/>
      <c r="X36" s="10"/>
      <c r="Y36" s="10"/>
      <c r="Z36" s="10"/>
    </row>
    <row r="37" spans="3:26" s="3" customFormat="1" ht="12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10"/>
      <c r="Q37" s="10"/>
      <c r="R37" s="10"/>
      <c r="S37" s="6"/>
      <c r="T37" s="6"/>
      <c r="U37" s="10" t="e">
        <f t="shared" si="0"/>
        <v>#REF!</v>
      </c>
      <c r="V37" s="10">
        <v>1111</v>
      </c>
      <c r="W37" s="10" t="e">
        <f>W35+100</f>
        <v>#REF!</v>
      </c>
      <c r="X37" s="10">
        <v>2177</v>
      </c>
      <c r="Y37" s="10"/>
      <c r="Z37" s="10"/>
    </row>
    <row r="38" spans="3:26" s="3" customFormat="1" ht="12.9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10"/>
      <c r="Q38" s="10"/>
      <c r="R38" s="10"/>
      <c r="S38" s="6"/>
      <c r="T38" s="6"/>
      <c r="U38" s="10">
        <v>2696</v>
      </c>
      <c r="V38" s="10">
        <v>1082</v>
      </c>
      <c r="W38" s="10">
        <v>1344</v>
      </c>
      <c r="X38" s="10">
        <v>2145</v>
      </c>
      <c r="Y38" s="10">
        <v>672</v>
      </c>
      <c r="Z38" s="10">
        <v>2145</v>
      </c>
    </row>
  </sheetData>
  <sheetProtection algorithmName="SHA-512" hashValue="uviX42iyhA0G409cmmz8fjqyrH2jHlsMAiJtJRfIAbHvwpak32OrFtb07p7NeVx+AaLFc0Yljwbq8WfzwAG/vg==" saltValue="lkGFDvErrRrBsOVoUeYoog==" spinCount="100000" sheet="1" objects="1" scenarios="1" selectLockedCells="1"/>
  <mergeCells count="10">
    <mergeCell ref="F18:H18"/>
    <mergeCell ref="A9:A16"/>
    <mergeCell ref="F3:I3"/>
    <mergeCell ref="F4:I4"/>
    <mergeCell ref="F5:I5"/>
    <mergeCell ref="F6:I6"/>
    <mergeCell ref="F7:I7"/>
    <mergeCell ref="G9:I9"/>
    <mergeCell ref="G10:I10"/>
    <mergeCell ref="G11:I11"/>
  </mergeCells>
  <dataValidations count="6">
    <dataValidation type="list" allowBlank="1" showInputMessage="1" showErrorMessage="1" promptTitle="TYPE DE CAMERA" sqref="AL2">
      <formula1>"5L400,5L300,5L600"</formula1>
    </dataValidation>
    <dataValidation type="list" allowBlank="1" showInputMessage="1" showErrorMessage="1" promptTitle="TYPE DE CAMERA" sqref="AK2">
      <formula1>"5L200,5L300,5L400,5L500,5L600"</formula1>
    </dataValidation>
    <dataValidation type="list" allowBlank="1" showInputMessage="1" showErrorMessage="1" sqref="L3">
      <formula1>"25,33,50,100"</formula1>
    </dataValidation>
    <dataValidation type="list" allowBlank="1" showInputMessage="1" showErrorMessage="1" sqref="L4">
      <formula1>"25,33,50,100,150,300"</formula1>
    </dataValidation>
    <dataValidation type="list" allowBlank="1" showInputMessage="1" showErrorMessage="1" sqref="L5 L7">
      <formula1>"25,33,50,100,200"</formula1>
    </dataValidation>
    <dataValidation type="list" allowBlank="1" showInputMessage="1" showErrorMessage="1" sqref="L6">
      <formula1>"100,200"</formula1>
    </dataValidation>
  </dataValidations>
  <pageMargins left="0.7" right="0.7" top="0.75" bottom="0.75" header="0.5" footer="0.5"/>
  <pageSetup fitToHeight="0" orientation="portrait" useFirstPageNumber="1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Sheet1 - Table 1</vt:lpstr>
      <vt:lpstr>CameraModel</vt:lpstr>
      <vt:lpstr>List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Lambert</dc:creator>
  <cp:lastModifiedBy>lauren greenwood</cp:lastModifiedBy>
  <cp:revision/>
  <dcterms:created xsi:type="dcterms:W3CDTF">2011-06-22T12:28:31Z</dcterms:created>
  <dcterms:modified xsi:type="dcterms:W3CDTF">2021-03-30T17:24:53Z</dcterms:modified>
</cp:coreProperties>
</file>